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5" yWindow="109" windowWidth="14808" windowHeight="8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63" i="1" l="1"/>
  <c r="D61" i="1"/>
  <c r="C51" i="1"/>
  <c r="D42" i="1"/>
  <c r="D40" i="1"/>
  <c r="M39" i="1"/>
  <c r="M62" i="1" s="1"/>
  <c r="M44" i="1" s="1"/>
  <c r="M48" i="1" s="1"/>
  <c r="L39" i="1"/>
  <c r="L51" i="1" s="1"/>
  <c r="K39" i="1"/>
  <c r="K62" i="1" s="1"/>
  <c r="K44" i="1" s="1"/>
  <c r="K48" i="1" s="1"/>
  <c r="J39" i="1"/>
  <c r="J51" i="1" s="1"/>
  <c r="I39" i="1"/>
  <c r="I62" i="1" s="1"/>
  <c r="I44" i="1" s="1"/>
  <c r="I48" i="1" s="1"/>
  <c r="H39" i="1"/>
  <c r="H62" i="1" s="1"/>
  <c r="H44" i="1" s="1"/>
  <c r="H48" i="1" s="1"/>
  <c r="G39" i="1"/>
  <c r="G62" i="1" s="1"/>
  <c r="G44" i="1" s="1"/>
  <c r="G48" i="1" s="1"/>
  <c r="F39" i="1"/>
  <c r="F51" i="1" s="1"/>
  <c r="E39" i="1"/>
  <c r="E62" i="1" s="1"/>
  <c r="E44" i="1" s="1"/>
  <c r="E48" i="1" s="1"/>
  <c r="D39" i="1"/>
  <c r="D62" i="1" s="1"/>
  <c r="L36" i="1"/>
  <c r="K36" i="1"/>
  <c r="J36" i="1"/>
  <c r="I36" i="1"/>
  <c r="H36" i="1"/>
  <c r="G36" i="1"/>
  <c r="F36" i="1"/>
  <c r="E36" i="1"/>
  <c r="D36" i="1"/>
  <c r="M35" i="1"/>
  <c r="L35" i="1"/>
  <c r="K35" i="1"/>
  <c r="J35" i="1"/>
  <c r="I35" i="1"/>
  <c r="H35" i="1"/>
  <c r="G35" i="1"/>
  <c r="F35" i="1"/>
  <c r="E35" i="1"/>
  <c r="D35" i="1"/>
  <c r="C31" i="1"/>
  <c r="C30" i="1"/>
  <c r="C29" i="1"/>
  <c r="C27" i="1"/>
  <c r="C28" i="1" s="1"/>
  <c r="C32" i="1" s="1"/>
  <c r="C26" i="1"/>
  <c r="M21" i="1"/>
  <c r="L21" i="1"/>
  <c r="K21" i="1"/>
  <c r="J21" i="1"/>
  <c r="I21" i="1"/>
  <c r="H21" i="1"/>
  <c r="G21" i="1"/>
  <c r="F21" i="1"/>
  <c r="E21" i="1"/>
  <c r="L12" i="1"/>
  <c r="E42" i="1" l="1"/>
  <c r="F42" i="1" s="1"/>
  <c r="G42" i="1" s="1"/>
  <c r="H42" i="1" s="1"/>
  <c r="I42" i="1" s="1"/>
  <c r="J42" i="1" s="1"/>
  <c r="K42" i="1" s="1"/>
  <c r="L42" i="1" s="1"/>
  <c r="M42" i="1" s="1"/>
  <c r="D49" i="1"/>
  <c r="L62" i="1"/>
  <c r="L44" i="1" s="1"/>
  <c r="L48" i="1" s="1"/>
  <c r="E40" i="1"/>
  <c r="F40" i="1" s="1"/>
  <c r="E61" i="1"/>
  <c r="D44" i="1"/>
  <c r="D48" i="1" s="1"/>
  <c r="C52" i="1"/>
  <c r="C50" i="1"/>
  <c r="D63" i="1"/>
  <c r="F49" i="1"/>
  <c r="F43" i="1"/>
  <c r="F45" i="1" s="1"/>
  <c r="F41" i="1"/>
  <c r="G40" i="1"/>
  <c r="E41" i="1"/>
  <c r="E43" i="1"/>
  <c r="E45" i="1" s="1"/>
  <c r="E49" i="1"/>
  <c r="G51" i="1"/>
  <c r="K51" i="1"/>
  <c r="D51" i="1"/>
  <c r="H51" i="1"/>
  <c r="F62" i="1"/>
  <c r="F44" i="1" s="1"/>
  <c r="F48" i="1" s="1"/>
  <c r="J62" i="1"/>
  <c r="J44" i="1" s="1"/>
  <c r="J48" i="1" s="1"/>
  <c r="E51" i="1"/>
  <c r="I51" i="1"/>
  <c r="M51" i="1"/>
  <c r="D41" i="1"/>
  <c r="D43" i="1"/>
  <c r="D45" i="1" s="1"/>
  <c r="D46" i="1" l="1"/>
  <c r="D47" i="1" s="1"/>
  <c r="G49" i="1"/>
  <c r="G41" i="1"/>
  <c r="G43" i="1" s="1"/>
  <c r="G45" i="1" s="1"/>
  <c r="H40" i="1"/>
  <c r="E46" i="1"/>
  <c r="E47" i="1"/>
  <c r="E50" i="1" s="1"/>
  <c r="E52" i="1" s="1"/>
  <c r="F46" i="1"/>
  <c r="F47" i="1" s="1"/>
  <c r="F50" i="1" s="1"/>
  <c r="F52" i="1" s="1"/>
  <c r="E63" i="1"/>
  <c r="F61" i="1"/>
  <c r="D50" i="1" l="1"/>
  <c r="G46" i="1"/>
  <c r="G47" i="1" s="1"/>
  <c r="H49" i="1"/>
  <c r="H41" i="1"/>
  <c r="H43" i="1" s="1"/>
  <c r="H45" i="1" s="1"/>
  <c r="I40" i="1"/>
  <c r="F63" i="1"/>
  <c r="G61" i="1"/>
  <c r="H46" i="1" l="1"/>
  <c r="H47" i="1" s="1"/>
  <c r="G50" i="1"/>
  <c r="G52" i="1" s="1"/>
  <c r="J40" i="1"/>
  <c r="I49" i="1"/>
  <c r="I41" i="1"/>
  <c r="I43" i="1" s="1"/>
  <c r="I45" i="1" s="1"/>
  <c r="G63" i="1"/>
  <c r="H61" i="1"/>
  <c r="D52" i="1"/>
  <c r="I46" i="1" l="1"/>
  <c r="I47" i="1"/>
  <c r="I50" i="1" s="1"/>
  <c r="I52" i="1" s="1"/>
  <c r="H50" i="1"/>
  <c r="H52" i="1" s="1"/>
  <c r="H63" i="1"/>
  <c r="I61" i="1"/>
  <c r="J49" i="1"/>
  <c r="J41" i="1"/>
  <c r="J43" i="1" s="1"/>
  <c r="J45" i="1" s="1"/>
  <c r="K40" i="1"/>
  <c r="J46" i="1" l="1"/>
  <c r="J47" i="1"/>
  <c r="K49" i="1"/>
  <c r="K41" i="1"/>
  <c r="K43" i="1" s="1"/>
  <c r="K45" i="1" s="1"/>
  <c r="L40" i="1"/>
  <c r="I63" i="1"/>
  <c r="J61" i="1"/>
  <c r="L49" i="1" l="1"/>
  <c r="L41" i="1"/>
  <c r="L43" i="1" s="1"/>
  <c r="L45" i="1" s="1"/>
  <c r="M40" i="1"/>
  <c r="J50" i="1"/>
  <c r="J52" i="1" s="1"/>
  <c r="J63" i="1"/>
  <c r="K61" i="1"/>
  <c r="K47" i="1"/>
  <c r="K50" i="1" s="1"/>
  <c r="K52" i="1" s="1"/>
  <c r="K46" i="1"/>
  <c r="L46" i="1" l="1"/>
  <c r="L47" i="1" s="1"/>
  <c r="L50" i="1" s="1"/>
  <c r="L52" i="1" s="1"/>
  <c r="K63" i="1"/>
  <c r="L61" i="1"/>
  <c r="M49" i="1"/>
  <c r="M36" i="1" s="1"/>
  <c r="M41" i="1"/>
  <c r="M43" i="1" s="1"/>
  <c r="M45" i="1" s="1"/>
  <c r="L63" i="1" l="1"/>
  <c r="M61" i="1"/>
  <c r="M63" i="1" s="1"/>
  <c r="M46" i="1"/>
  <c r="M47" i="1" s="1"/>
  <c r="M50" i="1" l="1"/>
  <c r="D57" i="1"/>
  <c r="M52" i="1" l="1"/>
  <c r="D55" i="1" s="1"/>
  <c r="D56" i="1"/>
</calcChain>
</file>

<file path=xl/sharedStrings.xml><?xml version="1.0" encoding="utf-8"?>
<sst xmlns="http://schemas.openxmlformats.org/spreadsheetml/2006/main" count="71" uniqueCount="68">
  <si>
    <t>INITIAL INVESTMENT</t>
  </si>
  <si>
    <t>CASHFLOW DETAILS</t>
  </si>
  <si>
    <t>DISCOUNT RATE</t>
  </si>
  <si>
    <t>Initial Investment=</t>
  </si>
  <si>
    <t>Revenues in  year 1=</t>
  </si>
  <si>
    <t>Approach(1:Direct;2:CAPM)=</t>
  </si>
  <si>
    <t>Opportunity cost (if any)=</t>
  </si>
  <si>
    <t>Var. Expenses as % of Rev=</t>
  </si>
  <si>
    <t>1. Discount rate =</t>
  </si>
  <si>
    <t>Lifetime of the investment</t>
  </si>
  <si>
    <t>Fixed expenses in year 1=</t>
  </si>
  <si>
    <t>2a. Beta</t>
  </si>
  <si>
    <t>Salvage Value at end of project=</t>
  </si>
  <si>
    <t>Tax rate on net income=</t>
  </si>
  <si>
    <t xml:space="preserve"> b. Riskless rate=</t>
  </si>
  <si>
    <t>Deprec. method(1:St.line;2:DDB)=</t>
  </si>
  <si>
    <t>If you do not have the breakdown of fixed and variable</t>
  </si>
  <si>
    <t xml:space="preserve"> c. Market risk premium =</t>
  </si>
  <si>
    <t>Tax Credit (if any )=</t>
  </si>
  <si>
    <t>expenses, input the entire expense as a % of revenues.</t>
  </si>
  <si>
    <t xml:space="preserve"> d. Debt Ratio =</t>
  </si>
  <si>
    <t>Other invest.(non-depreciable)=</t>
  </si>
  <si>
    <t xml:space="preserve"> e. Cost of Borrowing =</t>
  </si>
  <si>
    <t>Discount rate used=</t>
  </si>
  <si>
    <t>WORKING CAPITAL</t>
  </si>
  <si>
    <t>Initial Investment in Work. Cap=</t>
  </si>
  <si>
    <t>Working Capital as % of Rev=</t>
  </si>
  <si>
    <t>Salvageable fraction at end=</t>
  </si>
  <si>
    <t>GROWTH RATES</t>
  </si>
  <si>
    <t>Revenues</t>
  </si>
  <si>
    <t>Do not enter</t>
  </si>
  <si>
    <t>Fixed Expenses</t>
  </si>
  <si>
    <t>Default: The fixed expense growth rate is set equal to the growth rate in revenues by default.</t>
  </si>
  <si>
    <t>YEAR</t>
  </si>
  <si>
    <t>Investment</t>
  </si>
  <si>
    <t xml:space="preserve"> - Tax Credit</t>
  </si>
  <si>
    <t>Net Investment</t>
  </si>
  <si>
    <t xml:space="preserve"> + Working Cap</t>
  </si>
  <si>
    <t xml:space="preserve"> + Opp. Cost</t>
  </si>
  <si>
    <t xml:space="preserve"> + Other invest.</t>
  </si>
  <si>
    <t>Initial Investment</t>
  </si>
  <si>
    <t>SALVAGE VALUE</t>
  </si>
  <si>
    <t>Equipment</t>
  </si>
  <si>
    <t>Working Capital</t>
  </si>
  <si>
    <t>OPERATING CASHFLOWS</t>
  </si>
  <si>
    <t>Lifetime Index</t>
  </si>
  <si>
    <t xml:space="preserve"> -Var. Expenses</t>
  </si>
  <si>
    <t xml:space="preserve"> - Fixed Expenses</t>
  </si>
  <si>
    <t>EBITDA</t>
  </si>
  <si>
    <t xml:space="preserve"> - Depreciation</t>
  </si>
  <si>
    <t>EBIT</t>
  </si>
  <si>
    <t xml:space="preserve"> -Tax</t>
  </si>
  <si>
    <t>EBIT(1-t)</t>
  </si>
  <si>
    <t xml:space="preserve"> + Depreciation</t>
  </si>
  <si>
    <t xml:space="preserve"> - ∂ Work. Cap</t>
  </si>
  <si>
    <t>NATCF</t>
  </si>
  <si>
    <t>Discount Factor</t>
  </si>
  <si>
    <t>Discounted CF</t>
  </si>
  <si>
    <t>Investment Measures</t>
  </si>
  <si>
    <t>NPV =</t>
  </si>
  <si>
    <t>IRR =</t>
  </si>
  <si>
    <t>ROC =</t>
  </si>
  <si>
    <t>BOOK VALUE &amp; DEPRECIATION</t>
  </si>
  <si>
    <t>Book Value (beginning)</t>
  </si>
  <si>
    <t>Depreciation</t>
  </si>
  <si>
    <t>BV(ending)</t>
  </si>
  <si>
    <t>Capital Expense - Details</t>
  </si>
  <si>
    <t>Instruction: Insert only Number Cells (Highlighted)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</si>
</sst>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\(&quot;$&quot;#,##0\)"/>
  </numFmts>
  <fonts count="11">
    <font>
      <sz val="11"/>
      <color theme="1"/>
      <name val="Calibri"/>
      <family val="2"/>
      <scheme val="minor"/>
    </font>
    <font>
      <b/>
      <i/>
      <sz val="10"/>
      <name val="Geneva"/>
    </font>
    <font>
      <sz val="10"/>
      <name val="Times"/>
    </font>
    <font>
      <b/>
      <sz val="10"/>
      <name val="Times"/>
    </font>
    <font>
      <i/>
      <sz val="10"/>
      <name val="Times"/>
    </font>
    <font>
      <b/>
      <sz val="10"/>
      <color rgb="FF061BBA"/>
      <name val="Times"/>
      <charset val="1"/>
    </font>
    <font>
      <i/>
      <sz val="10"/>
      <color theme="0"/>
      <name val="Times"/>
    </font>
    <font>
      <sz val="10"/>
      <color theme="0"/>
      <name val="Times"/>
    </font>
    <font>
      <b/>
      <sz val="18"/>
      <color theme="9" tint="-0.249977111117893"/>
      <name val="Geneva"/>
      <charset val="1"/>
    </font>
    <font>
      <b/>
      <sz val="10"/>
      <color rgb="FF061BBA"/>
      <name val="Times"/>
    </font>
    <font>
      <b/>
      <sz val="10"/>
      <color theme="9" tint="-0.249977111117893"/>
      <name val="Times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/>
    <xf numFmtId="0" fontId="4" fillId="0" borderId="8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4" fillId="0" borderId="6" xfId="0" applyFont="1" applyBorder="1"/>
    <xf numFmtId="0" fontId="4" fillId="0" borderId="0" xfId="0" applyFont="1" applyBorder="1"/>
    <xf numFmtId="10" fontId="3" fillId="0" borderId="0" xfId="0" applyNumberFormat="1" applyFont="1" applyBorder="1"/>
    <xf numFmtId="10" fontId="3" fillId="0" borderId="18" xfId="0" applyNumberFormat="1" applyFont="1" applyBorder="1"/>
    <xf numFmtId="0" fontId="2" fillId="0" borderId="19" xfId="0" applyFont="1" applyBorder="1"/>
    <xf numFmtId="0" fontId="2" fillId="0" borderId="7" xfId="0" applyFont="1" applyBorder="1"/>
    <xf numFmtId="164" fontId="2" fillId="0" borderId="0" xfId="0" applyNumberFormat="1" applyFont="1"/>
    <xf numFmtId="0" fontId="2" fillId="0" borderId="9" xfId="0" applyFont="1" applyBorder="1"/>
    <xf numFmtId="164" fontId="2" fillId="0" borderId="0" xfId="0" applyNumberFormat="1" applyFont="1" applyBorder="1"/>
    <xf numFmtId="164" fontId="2" fillId="0" borderId="9" xfId="0" applyNumberFormat="1" applyFont="1" applyBorder="1"/>
    <xf numFmtId="164" fontId="2" fillId="0" borderId="13" xfId="0" applyNumberFormat="1" applyFont="1" applyBorder="1"/>
    <xf numFmtId="164" fontId="2" fillId="0" borderId="14" xfId="0" applyNumberFormat="1" applyFont="1" applyBorder="1"/>
    <xf numFmtId="0" fontId="3" fillId="0" borderId="6" xfId="0" applyFont="1" applyBorder="1"/>
    <xf numFmtId="0" fontId="3" fillId="0" borderId="10" xfId="0" applyFont="1" applyBorder="1"/>
    <xf numFmtId="0" fontId="3" fillId="4" borderId="0" xfId="0" applyFont="1" applyFill="1" applyAlignment="1">
      <alignment horizontal="center"/>
    </xf>
    <xf numFmtId="0" fontId="2" fillId="2" borderId="2" xfId="0" applyFont="1" applyFill="1" applyBorder="1"/>
    <xf numFmtId="0" fontId="2" fillId="2" borderId="22" xfId="0" applyFont="1" applyFill="1" applyBorder="1"/>
    <xf numFmtId="0" fontId="2" fillId="2" borderId="25" xfId="0" applyFont="1" applyFill="1" applyBorder="1"/>
    <xf numFmtId="0" fontId="2" fillId="2" borderId="22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2" fillId="0" borderId="15" xfId="0" applyFont="1" applyBorder="1"/>
    <xf numFmtId="0" fontId="5" fillId="2" borderId="27" xfId="0" applyFont="1" applyFill="1" applyBorder="1" applyAlignment="1">
      <alignment horizontal="center"/>
    </xf>
    <xf numFmtId="0" fontId="5" fillId="2" borderId="27" xfId="0" applyFont="1" applyFill="1" applyBorder="1"/>
    <xf numFmtId="0" fontId="6" fillId="0" borderId="0" xfId="0" applyFont="1" applyBorder="1"/>
    <xf numFmtId="0" fontId="6" fillId="0" borderId="18" xfId="0" applyFont="1" applyBorder="1"/>
    <xf numFmtId="0" fontId="5" fillId="2" borderId="21" xfId="0" applyFont="1" applyFill="1" applyBorder="1"/>
    <xf numFmtId="0" fontId="5" fillId="2" borderId="22" xfId="0" applyFont="1" applyFill="1" applyBorder="1"/>
    <xf numFmtId="0" fontId="7" fillId="0" borderId="0" xfId="0" applyFont="1"/>
    <xf numFmtId="0" fontId="5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9" fontId="3" fillId="2" borderId="7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9" fontId="3" fillId="2" borderId="9" xfId="0" applyNumberFormat="1" applyFont="1" applyFill="1" applyBorder="1" applyAlignment="1">
      <alignment horizontal="center"/>
    </xf>
    <xf numFmtId="10" fontId="3" fillId="2" borderId="9" xfId="0" applyNumberFormat="1" applyFont="1" applyFill="1" applyBorder="1" applyAlignment="1">
      <alignment horizontal="center"/>
    </xf>
    <xf numFmtId="10" fontId="2" fillId="2" borderId="9" xfId="0" applyNumberFormat="1" applyFont="1" applyFill="1" applyBorder="1" applyAlignment="1">
      <alignment horizontal="center"/>
    </xf>
    <xf numFmtId="10" fontId="2" fillId="2" borderId="14" xfId="0" applyNumberFormat="1" applyFont="1" applyFill="1" applyBorder="1" applyAlignment="1">
      <alignment horizontal="center"/>
    </xf>
    <xf numFmtId="10" fontId="2" fillId="2" borderId="1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9" fontId="3" fillId="2" borderId="16" xfId="0" applyNumberFormat="1" applyFont="1" applyFill="1" applyBorder="1" applyAlignment="1">
      <alignment horizontal="center"/>
    </xf>
    <xf numFmtId="9" fontId="3" fillId="2" borderId="17" xfId="0" applyNumberFormat="1" applyFont="1" applyFill="1" applyBorder="1" applyAlignment="1">
      <alignment horizontal="center"/>
    </xf>
    <xf numFmtId="164" fontId="2" fillId="2" borderId="15" xfId="0" applyNumberFormat="1" applyFont="1" applyFill="1" applyBorder="1"/>
    <xf numFmtId="164" fontId="2" fillId="2" borderId="7" xfId="0" applyNumberFormat="1" applyFont="1" applyFill="1" applyBorder="1"/>
    <xf numFmtId="164" fontId="3" fillId="2" borderId="18" xfId="0" applyNumberFormat="1" applyFont="1" applyFill="1" applyBorder="1"/>
    <xf numFmtId="10" fontId="3" fillId="2" borderId="18" xfId="0" applyNumberFormat="1" applyFont="1" applyFill="1" applyBorder="1"/>
    <xf numFmtId="10" fontId="3" fillId="2" borderId="19" xfId="0" applyNumberFormat="1" applyFont="1" applyFill="1" applyBorder="1"/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61BBA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4"/>
  <sheetViews>
    <sheetView tabSelected="1" workbookViewId="0">
      <selection activeCell="S14" sqref="S14"/>
    </sheetView>
  </sheetViews>
  <sheetFormatPr defaultRowHeight="14.3"/>
  <cols>
    <col min="1" max="1" width="2.625" customWidth="1"/>
    <col min="2" max="2" width="12.75" customWidth="1"/>
    <col min="3" max="4" width="11" customWidth="1"/>
    <col min="5" max="5" width="11.125" customWidth="1"/>
    <col min="6" max="10" width="11" customWidth="1"/>
    <col min="11" max="11" width="14.25" customWidth="1"/>
    <col min="12" max="12" width="11" customWidth="1"/>
    <col min="13" max="13" width="11.125" customWidth="1"/>
  </cols>
  <sheetData>
    <row r="1" spans="2:13" ht="10.9" customHeight="1"/>
    <row r="2" spans="2:13" ht="23.8">
      <c r="B2" s="48" t="s">
        <v>66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1"/>
    </row>
    <row r="3" spans="2:13" ht="15.65" customHeight="1" thickBot="1">
      <c r="B3" s="28" t="s">
        <v>67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"/>
    </row>
    <row r="4" spans="2:13" ht="14.95" thickTop="1">
      <c r="B4" s="33" t="s">
        <v>0</v>
      </c>
      <c r="C4" s="34"/>
      <c r="D4" s="29"/>
      <c r="E4" s="2"/>
      <c r="F4" s="33" t="s">
        <v>1</v>
      </c>
      <c r="G4" s="34"/>
      <c r="H4" s="30"/>
      <c r="I4" s="2"/>
      <c r="J4" s="35" t="s">
        <v>2</v>
      </c>
      <c r="K4" s="36"/>
      <c r="L4" s="31"/>
      <c r="M4" s="2"/>
    </row>
    <row r="5" spans="2:13">
      <c r="B5" s="5" t="s">
        <v>3</v>
      </c>
      <c r="C5" s="6"/>
      <c r="D5" s="49">
        <v>50000</v>
      </c>
      <c r="E5" s="2"/>
      <c r="F5" s="5" t="s">
        <v>4</v>
      </c>
      <c r="G5" s="6"/>
      <c r="H5" s="52">
        <v>40000</v>
      </c>
      <c r="I5" s="2"/>
      <c r="J5" s="7" t="s">
        <v>5</v>
      </c>
      <c r="K5" s="6"/>
      <c r="L5" s="53">
        <v>2</v>
      </c>
      <c r="M5" s="2"/>
    </row>
    <row r="6" spans="2:13">
      <c r="B6" s="5" t="s">
        <v>6</v>
      </c>
      <c r="C6" s="6"/>
      <c r="D6" s="49">
        <v>7484</v>
      </c>
      <c r="E6" s="2"/>
      <c r="F6" s="5" t="s">
        <v>7</v>
      </c>
      <c r="G6" s="6"/>
      <c r="H6" s="51">
        <v>0.5</v>
      </c>
      <c r="I6" s="2"/>
      <c r="J6" s="8" t="s">
        <v>8</v>
      </c>
      <c r="K6" s="6"/>
      <c r="L6" s="54">
        <v>0.1</v>
      </c>
      <c r="M6" s="2"/>
    </row>
    <row r="7" spans="2:13">
      <c r="B7" s="5" t="s">
        <v>9</v>
      </c>
      <c r="C7" s="6"/>
      <c r="D7" s="50">
        <v>10</v>
      </c>
      <c r="E7" s="2"/>
      <c r="F7" s="5" t="s">
        <v>10</v>
      </c>
      <c r="G7" s="6"/>
      <c r="H7" s="50">
        <v>0</v>
      </c>
      <c r="I7" s="2"/>
      <c r="J7" s="8" t="s">
        <v>11</v>
      </c>
      <c r="K7" s="6"/>
      <c r="L7" s="53">
        <v>0.9</v>
      </c>
      <c r="M7" s="2"/>
    </row>
    <row r="8" spans="2:13" ht="14.95" thickBot="1">
      <c r="B8" s="5" t="s">
        <v>12</v>
      </c>
      <c r="C8" s="6"/>
      <c r="D8" s="49">
        <v>10000</v>
      </c>
      <c r="E8" s="2"/>
      <c r="F8" s="9" t="s">
        <v>13</v>
      </c>
      <c r="G8" s="10"/>
      <c r="H8" s="51">
        <v>0.4</v>
      </c>
      <c r="I8" s="2"/>
      <c r="J8" s="8" t="s">
        <v>14</v>
      </c>
      <c r="K8" s="6"/>
      <c r="L8" s="55">
        <v>0.08</v>
      </c>
      <c r="M8" s="2"/>
    </row>
    <row r="9" spans="2:13" ht="14.95" thickTop="1">
      <c r="B9" s="5" t="s">
        <v>15</v>
      </c>
      <c r="C9" s="6"/>
      <c r="D9" s="50">
        <v>2</v>
      </c>
      <c r="E9" s="2"/>
      <c r="F9" s="2" t="s">
        <v>16</v>
      </c>
      <c r="G9" s="2"/>
      <c r="H9" s="11"/>
      <c r="I9" s="2"/>
      <c r="J9" s="8" t="s">
        <v>17</v>
      </c>
      <c r="K9" s="6"/>
      <c r="L9" s="55">
        <v>5.5E-2</v>
      </c>
      <c r="M9" s="2"/>
    </row>
    <row r="10" spans="2:13">
      <c r="B10" s="5" t="s">
        <v>18</v>
      </c>
      <c r="C10" s="6"/>
      <c r="D10" s="51">
        <v>0.1</v>
      </c>
      <c r="E10" s="2"/>
      <c r="F10" s="2" t="s">
        <v>19</v>
      </c>
      <c r="G10" s="2"/>
      <c r="H10" s="11"/>
      <c r="I10" s="2"/>
      <c r="J10" s="8" t="s">
        <v>20</v>
      </c>
      <c r="K10" s="6"/>
      <c r="L10" s="56">
        <v>0.3</v>
      </c>
      <c r="M10" s="2"/>
    </row>
    <row r="11" spans="2:13" ht="14.95" thickBot="1">
      <c r="B11" s="9" t="s">
        <v>21</v>
      </c>
      <c r="C11" s="10"/>
      <c r="D11" s="50">
        <v>0</v>
      </c>
      <c r="E11" s="2"/>
      <c r="F11" s="2"/>
      <c r="G11" s="2"/>
      <c r="H11" s="11"/>
      <c r="I11" s="2"/>
      <c r="J11" s="12" t="s">
        <v>22</v>
      </c>
      <c r="K11" s="13"/>
      <c r="L11" s="57">
        <v>0.09</v>
      </c>
      <c r="M11" s="2"/>
    </row>
    <row r="12" spans="2:13" ht="15.65" thickTop="1" thickBot="1">
      <c r="B12" s="2"/>
      <c r="C12" s="2"/>
      <c r="D12" s="11"/>
      <c r="E12" s="2"/>
      <c r="J12" s="2" t="s">
        <v>23</v>
      </c>
      <c r="K12" s="2"/>
      <c r="L12" s="58">
        <f>IF(L5=1,L6,(L8+L7*L9)*(1-L10)+L11*(1-H8)*L10)</f>
        <v>0.10685</v>
      </c>
      <c r="M12" s="2"/>
    </row>
    <row r="13" spans="2:13" ht="14.95" thickTop="1">
      <c r="B13" s="33" t="s">
        <v>24</v>
      </c>
      <c r="C13" s="34"/>
      <c r="D13" s="32"/>
      <c r="E13" s="2"/>
      <c r="K13" s="2"/>
      <c r="L13" s="2"/>
      <c r="M13" s="2"/>
    </row>
    <row r="14" spans="2:13">
      <c r="B14" s="5" t="s">
        <v>25</v>
      </c>
      <c r="C14" s="6"/>
      <c r="D14" s="59">
        <v>10000</v>
      </c>
      <c r="E14" s="2"/>
      <c r="K14" s="2"/>
      <c r="L14" s="2"/>
      <c r="M14" s="2"/>
    </row>
    <row r="15" spans="2:13">
      <c r="B15" s="5" t="s">
        <v>26</v>
      </c>
      <c r="C15" s="6"/>
      <c r="D15" s="60">
        <v>0.25</v>
      </c>
      <c r="E15" s="2"/>
      <c r="K15" s="2"/>
      <c r="L15" s="2"/>
      <c r="M15" s="2"/>
    </row>
    <row r="16" spans="2:13" ht="14.95" thickBot="1">
      <c r="B16" s="9" t="s">
        <v>27</v>
      </c>
      <c r="C16" s="10"/>
      <c r="D16" s="61">
        <v>1</v>
      </c>
      <c r="E16" s="2"/>
      <c r="K16" s="2"/>
      <c r="L16" s="2"/>
      <c r="M16" s="2"/>
    </row>
    <row r="17" spans="2:13" ht="15.65" thickTop="1" thickBot="1">
      <c r="B17" s="2"/>
      <c r="C17" s="2"/>
      <c r="D17" s="2"/>
      <c r="E17" s="2"/>
      <c r="F17" s="2"/>
      <c r="G17" s="2"/>
      <c r="H17" s="2"/>
      <c r="I17" s="2"/>
      <c r="K17" s="2"/>
      <c r="L17" s="2"/>
      <c r="M17" s="2"/>
    </row>
    <row r="18" spans="2:13" ht="14.95" thickTop="1">
      <c r="B18" s="33" t="s">
        <v>28</v>
      </c>
      <c r="C18" s="34"/>
      <c r="D18" s="42">
        <v>1</v>
      </c>
      <c r="E18" s="42">
        <v>2</v>
      </c>
      <c r="F18" s="42">
        <v>3</v>
      </c>
      <c r="G18" s="42">
        <v>4</v>
      </c>
      <c r="H18" s="42">
        <v>5</v>
      </c>
      <c r="I18" s="42">
        <v>6</v>
      </c>
      <c r="J18" s="42">
        <v>7</v>
      </c>
      <c r="K18" s="42">
        <v>8</v>
      </c>
      <c r="L18" s="42">
        <v>9</v>
      </c>
      <c r="M18" s="43">
        <v>10</v>
      </c>
    </row>
    <row r="19" spans="2:13">
      <c r="B19" s="14"/>
      <c r="C19" s="15"/>
      <c r="D19" s="40">
        <v>1</v>
      </c>
      <c r="E19" s="40">
        <v>2</v>
      </c>
      <c r="F19" s="40">
        <v>3</v>
      </c>
      <c r="G19" s="40">
        <v>4</v>
      </c>
      <c r="H19" s="40">
        <v>5</v>
      </c>
      <c r="I19" s="40">
        <v>6</v>
      </c>
      <c r="J19" s="40">
        <v>7</v>
      </c>
      <c r="K19" s="40">
        <v>8</v>
      </c>
      <c r="L19" s="40">
        <v>9</v>
      </c>
      <c r="M19" s="41">
        <v>10</v>
      </c>
    </row>
    <row r="20" spans="2:13">
      <c r="B20" s="5" t="s">
        <v>29</v>
      </c>
      <c r="C20" s="6"/>
      <c r="D20" s="6" t="s">
        <v>30</v>
      </c>
      <c r="E20" s="16">
        <v>0.1</v>
      </c>
      <c r="F20" s="16">
        <v>0.1</v>
      </c>
      <c r="G20" s="16">
        <v>0.1</v>
      </c>
      <c r="H20" s="16">
        <v>0.1</v>
      </c>
      <c r="I20" s="16">
        <v>0</v>
      </c>
      <c r="J20" s="16">
        <v>0</v>
      </c>
      <c r="K20" s="16">
        <v>0</v>
      </c>
      <c r="L20" s="16">
        <v>0</v>
      </c>
      <c r="M20" s="17">
        <v>0</v>
      </c>
    </row>
    <row r="21" spans="2:13">
      <c r="B21" s="5" t="s">
        <v>31</v>
      </c>
      <c r="C21" s="6"/>
      <c r="D21" s="6" t="s">
        <v>30</v>
      </c>
      <c r="E21" s="16">
        <f t="shared" ref="E21:M21" si="0">E20</f>
        <v>0.1</v>
      </c>
      <c r="F21" s="16">
        <f t="shared" si="0"/>
        <v>0.1</v>
      </c>
      <c r="G21" s="16">
        <f t="shared" si="0"/>
        <v>0.1</v>
      </c>
      <c r="H21" s="16">
        <f t="shared" si="0"/>
        <v>0.1</v>
      </c>
      <c r="I21" s="16">
        <f t="shared" si="0"/>
        <v>0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7">
        <f t="shared" si="0"/>
        <v>0</v>
      </c>
    </row>
    <row r="22" spans="2:13" ht="14.95" thickBot="1">
      <c r="B22" s="69" t="s">
        <v>32</v>
      </c>
      <c r="C22" s="70"/>
      <c r="D22" s="70"/>
      <c r="E22" s="70"/>
      <c r="F22" s="70"/>
      <c r="G22" s="70"/>
      <c r="H22" s="70"/>
      <c r="I22" s="10"/>
      <c r="J22" s="10"/>
      <c r="K22" s="10"/>
      <c r="L22" s="10"/>
      <c r="M22" s="18"/>
    </row>
    <row r="23" spans="2:13" ht="14.95" thickTop="1">
      <c r="B23" s="2"/>
      <c r="C23" s="2"/>
      <c r="D23" s="2"/>
      <c r="E23" s="2"/>
      <c r="F23" s="2"/>
      <c r="G23" s="2" t="s">
        <v>33</v>
      </c>
      <c r="H23" s="2"/>
      <c r="I23" s="2"/>
      <c r="J23" s="2"/>
      <c r="K23" s="2"/>
      <c r="L23" s="2"/>
      <c r="M23" s="2"/>
    </row>
    <row r="24" spans="2:1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2:13">
      <c r="B25" s="38" t="s">
        <v>0</v>
      </c>
      <c r="C25" s="38"/>
      <c r="D25" s="39">
        <v>1</v>
      </c>
      <c r="E25" s="39">
        <v>2</v>
      </c>
      <c r="F25" s="39">
        <v>3</v>
      </c>
      <c r="G25" s="39">
        <v>4</v>
      </c>
      <c r="H25" s="39">
        <v>5</v>
      </c>
      <c r="I25" s="39">
        <v>6</v>
      </c>
      <c r="J25" s="39">
        <v>7</v>
      </c>
      <c r="K25" s="39">
        <v>8</v>
      </c>
      <c r="L25" s="39">
        <v>9</v>
      </c>
      <c r="M25" s="39">
        <v>10</v>
      </c>
    </row>
    <row r="26" spans="2:13">
      <c r="B26" s="37" t="s">
        <v>34</v>
      </c>
      <c r="C26" s="62">
        <f>D5</f>
        <v>50000</v>
      </c>
      <c r="D26" s="44">
        <v>1</v>
      </c>
      <c r="E26" s="44">
        <v>2</v>
      </c>
      <c r="F26" s="44">
        <v>3</v>
      </c>
      <c r="G26" s="44">
        <v>4</v>
      </c>
      <c r="H26" s="44">
        <v>5</v>
      </c>
      <c r="I26" s="44">
        <v>6</v>
      </c>
      <c r="J26" s="44">
        <v>7</v>
      </c>
      <c r="K26" s="44">
        <v>8</v>
      </c>
      <c r="L26" s="44">
        <v>9</v>
      </c>
      <c r="M26" s="44">
        <v>10</v>
      </c>
    </row>
    <row r="27" spans="2:13">
      <c r="B27" s="19" t="s">
        <v>35</v>
      </c>
      <c r="C27" s="63">
        <f>D5*D10</f>
        <v>5000</v>
      </c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2:13">
      <c r="B28" s="19" t="s">
        <v>36</v>
      </c>
      <c r="C28" s="63">
        <f>C26-C27</f>
        <v>45000</v>
      </c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2:13">
      <c r="B29" s="19" t="s">
        <v>37</v>
      </c>
      <c r="C29" s="63">
        <f>D14</f>
        <v>10000</v>
      </c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2:13">
      <c r="B30" s="19" t="s">
        <v>38</v>
      </c>
      <c r="C30" s="63">
        <f>D6</f>
        <v>7484</v>
      </c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13">
      <c r="B31" s="19" t="s">
        <v>39</v>
      </c>
      <c r="C31" s="63">
        <f>D11</f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2:13">
      <c r="B32" s="19" t="s">
        <v>40</v>
      </c>
      <c r="C32" s="63">
        <f>C28+C29+C30+C31</f>
        <v>62484</v>
      </c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2:1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2:13">
      <c r="B34" s="45" t="s">
        <v>41</v>
      </c>
      <c r="C34" s="45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3">
      <c r="B35" s="2" t="s">
        <v>42</v>
      </c>
      <c r="C35" s="2"/>
      <c r="D35" s="20">
        <f>IF(D24=D7,D8,0)</f>
        <v>0</v>
      </c>
      <c r="E35" s="20">
        <f>IF(E24=D7,D8,0)</f>
        <v>0</v>
      </c>
      <c r="F35" s="20">
        <f>IF(F24=D7,D8,0)</f>
        <v>0</v>
      </c>
      <c r="G35" s="20">
        <f>IF(G24=D7,D8,0)</f>
        <v>0</v>
      </c>
      <c r="H35" s="20">
        <f>IF(H24=D7,D8,0)</f>
        <v>0</v>
      </c>
      <c r="I35" s="20">
        <f>IF(I24=D7,D8,0)</f>
        <v>0</v>
      </c>
      <c r="J35" s="20">
        <f>IF(J24=D7,D8,0)</f>
        <v>0</v>
      </c>
      <c r="K35" s="20">
        <f>IF(K24=D7,D8,0)</f>
        <v>0</v>
      </c>
      <c r="L35" s="20">
        <f>IF(L24=D7,D8,0)</f>
        <v>0</v>
      </c>
      <c r="M35" s="20">
        <f>IF(M24=D7,D8,0)</f>
        <v>0</v>
      </c>
    </row>
    <row r="36" spans="2:13">
      <c r="B36" s="2" t="s">
        <v>43</v>
      </c>
      <c r="C36" s="2"/>
      <c r="D36" s="20">
        <f>IF(D24=D7,(D14+SUM(D49:M49))*D16,0)</f>
        <v>0</v>
      </c>
      <c r="E36" s="20">
        <f>IF(E24=D7,(D14+SUM(D49:M49))*D16,0)</f>
        <v>0</v>
      </c>
      <c r="F36" s="20">
        <f>IF(F24=D7,(D14+SUM(D49:M49))*D16,0)</f>
        <v>0</v>
      </c>
      <c r="G36" s="20">
        <f>IF(G24=D7,(D14+SUM(D49:M49))*D16,0)</f>
        <v>0</v>
      </c>
      <c r="H36" s="20">
        <f>IF(H24=D7,(D14+SUM(D49:M49))*D16,0)</f>
        <v>0</v>
      </c>
      <c r="I36" s="20">
        <f>IF(21=D7,(D14+SUM(D49:M49))*D16,0)</f>
        <v>0</v>
      </c>
      <c r="J36" s="20">
        <f>IF(J24=D7,(D14+SUM(D49:M49))*D16,0)</f>
        <v>0</v>
      </c>
      <c r="K36" s="20">
        <f>IF(K24=D7,(D14+SUM(D49:M49))*D16,0)</f>
        <v>0</v>
      </c>
      <c r="L36" s="20">
        <f>IF(L24=D7,(D14+SUM(D49:M49))*D16,0)</f>
        <v>0</v>
      </c>
      <c r="M36" s="20">
        <f>IF(M24=D7,(D14+SUM(D49:M49))*D16,0)</f>
        <v>0</v>
      </c>
    </row>
    <row r="37" spans="2:13" ht="14.95" thickBo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13">
      <c r="B38" s="46" t="s">
        <v>44</v>
      </c>
      <c r="C38" s="47"/>
      <c r="D38" s="3"/>
      <c r="E38" s="3"/>
      <c r="F38" s="3"/>
      <c r="G38" s="3"/>
      <c r="H38" s="3"/>
      <c r="I38" s="3"/>
      <c r="J38" s="3"/>
      <c r="K38" s="3"/>
      <c r="L38" s="3"/>
      <c r="M38" s="4"/>
    </row>
    <row r="39" spans="2:13">
      <c r="B39" s="8" t="s">
        <v>45</v>
      </c>
      <c r="C39" s="6"/>
      <c r="D39" s="6">
        <f>IF(D24&gt;D7,0,1)</f>
        <v>1</v>
      </c>
      <c r="E39" s="6">
        <f>IF(E24&gt;D7,0,1)</f>
        <v>1</v>
      </c>
      <c r="F39" s="6">
        <f>IF(F24&gt;D7,0,1)</f>
        <v>1</v>
      </c>
      <c r="G39" s="6">
        <f>IF(G24&gt;D7,0,1)</f>
        <v>1</v>
      </c>
      <c r="H39" s="6">
        <f>IF(H24&gt;D7,0,1)</f>
        <v>1</v>
      </c>
      <c r="I39" s="6">
        <f>IF(I24&gt;D7,0,1)</f>
        <v>1</v>
      </c>
      <c r="J39" s="6">
        <f>IF(J24&gt;D7,0,1)</f>
        <v>1</v>
      </c>
      <c r="K39" s="6">
        <f>IF(K24&gt;D7,0,1)</f>
        <v>1</v>
      </c>
      <c r="L39" s="6">
        <f>IF(L24&gt;D7,0,1)</f>
        <v>1</v>
      </c>
      <c r="M39" s="21">
        <f>IF(M24&gt;D7,0,1)</f>
        <v>1</v>
      </c>
    </row>
    <row r="40" spans="2:13">
      <c r="B40" s="8" t="s">
        <v>29</v>
      </c>
      <c r="C40" s="22"/>
      <c r="D40" s="22">
        <f>H5</f>
        <v>40000</v>
      </c>
      <c r="E40" s="22">
        <f t="shared" ref="E40:M40" si="1">D40*(1+E20)*E39</f>
        <v>44000</v>
      </c>
      <c r="F40" s="22">
        <f t="shared" si="1"/>
        <v>48400.000000000007</v>
      </c>
      <c r="G40" s="22">
        <f t="shared" si="1"/>
        <v>53240.000000000015</v>
      </c>
      <c r="H40" s="22">
        <f t="shared" si="1"/>
        <v>58564.000000000022</v>
      </c>
      <c r="I40" s="22">
        <f t="shared" si="1"/>
        <v>58564.000000000022</v>
      </c>
      <c r="J40" s="22">
        <f t="shared" si="1"/>
        <v>58564.000000000022</v>
      </c>
      <c r="K40" s="22">
        <f t="shared" si="1"/>
        <v>58564.000000000022</v>
      </c>
      <c r="L40" s="22">
        <f t="shared" si="1"/>
        <v>58564.000000000022</v>
      </c>
      <c r="M40" s="23">
        <f t="shared" si="1"/>
        <v>58564.000000000022</v>
      </c>
    </row>
    <row r="41" spans="2:13">
      <c r="B41" s="8" t="s">
        <v>46</v>
      </c>
      <c r="C41" s="22"/>
      <c r="D41" s="22">
        <f>D40*H6</f>
        <v>20000</v>
      </c>
      <c r="E41" s="22">
        <f>E40*H6</f>
        <v>22000</v>
      </c>
      <c r="F41" s="22">
        <f>F40*H6</f>
        <v>24200.000000000004</v>
      </c>
      <c r="G41" s="22">
        <f>G40*H6</f>
        <v>26620.000000000007</v>
      </c>
      <c r="H41" s="22">
        <f>H40*H6</f>
        <v>29282.000000000011</v>
      </c>
      <c r="I41" s="22">
        <f>I40*H6</f>
        <v>29282.000000000011</v>
      </c>
      <c r="J41" s="22">
        <f>J40*H6</f>
        <v>29282.000000000011</v>
      </c>
      <c r="K41" s="22">
        <f>K40*H6</f>
        <v>29282.000000000011</v>
      </c>
      <c r="L41" s="22">
        <f>L40*H6</f>
        <v>29282.000000000011</v>
      </c>
      <c r="M41" s="23">
        <f>M40*H6</f>
        <v>29282.000000000011</v>
      </c>
    </row>
    <row r="42" spans="2:13">
      <c r="B42" s="8" t="s">
        <v>47</v>
      </c>
      <c r="C42" s="22"/>
      <c r="D42" s="22">
        <f>H7</f>
        <v>0</v>
      </c>
      <c r="E42" s="22">
        <f t="shared" ref="E42:M42" si="2">D42*(1+E21)*E39</f>
        <v>0</v>
      </c>
      <c r="F42" s="22">
        <f t="shared" si="2"/>
        <v>0</v>
      </c>
      <c r="G42" s="22">
        <f t="shared" si="2"/>
        <v>0</v>
      </c>
      <c r="H42" s="22">
        <f t="shared" si="2"/>
        <v>0</v>
      </c>
      <c r="I42" s="22">
        <f t="shared" si="2"/>
        <v>0</v>
      </c>
      <c r="J42" s="22">
        <f t="shared" si="2"/>
        <v>0</v>
      </c>
      <c r="K42" s="22">
        <f t="shared" si="2"/>
        <v>0</v>
      </c>
      <c r="L42" s="22">
        <f t="shared" si="2"/>
        <v>0</v>
      </c>
      <c r="M42" s="23">
        <f t="shared" si="2"/>
        <v>0</v>
      </c>
    </row>
    <row r="43" spans="2:13">
      <c r="B43" s="8" t="s">
        <v>48</v>
      </c>
      <c r="C43" s="22"/>
      <c r="D43" s="22">
        <f t="shared" ref="D43:M43" si="3">D40-D41-D42</f>
        <v>20000</v>
      </c>
      <c r="E43" s="22">
        <f t="shared" si="3"/>
        <v>22000</v>
      </c>
      <c r="F43" s="22">
        <f t="shared" si="3"/>
        <v>24200.000000000004</v>
      </c>
      <c r="G43" s="22">
        <f t="shared" si="3"/>
        <v>26620.000000000007</v>
      </c>
      <c r="H43" s="22">
        <f t="shared" si="3"/>
        <v>29282.000000000011</v>
      </c>
      <c r="I43" s="22">
        <f t="shared" si="3"/>
        <v>29282.000000000011</v>
      </c>
      <c r="J43" s="22">
        <f t="shared" si="3"/>
        <v>29282.000000000011</v>
      </c>
      <c r="K43" s="22">
        <f t="shared" si="3"/>
        <v>29282.000000000011</v>
      </c>
      <c r="L43" s="22">
        <f t="shared" si="3"/>
        <v>29282.000000000011</v>
      </c>
      <c r="M43" s="23">
        <f t="shared" si="3"/>
        <v>29282.000000000011</v>
      </c>
    </row>
    <row r="44" spans="2:13">
      <c r="B44" s="8" t="s">
        <v>49</v>
      </c>
      <c r="C44" s="22"/>
      <c r="D44" s="22">
        <f t="shared" ref="D44:M44" si="4">D62</f>
        <v>12500</v>
      </c>
      <c r="E44" s="22">
        <f t="shared" si="4"/>
        <v>12500</v>
      </c>
      <c r="F44" s="22">
        <f t="shared" si="4"/>
        <v>12500</v>
      </c>
      <c r="G44" s="22">
        <f t="shared" si="4"/>
        <v>12500</v>
      </c>
      <c r="H44" s="22">
        <f t="shared" si="4"/>
        <v>12500</v>
      </c>
      <c r="I44" s="22">
        <f t="shared" si="4"/>
        <v>12500</v>
      </c>
      <c r="J44" s="22">
        <f t="shared" si="4"/>
        <v>12500</v>
      </c>
      <c r="K44" s="22">
        <f t="shared" si="4"/>
        <v>12500</v>
      </c>
      <c r="L44" s="22">
        <f t="shared" si="4"/>
        <v>12500</v>
      </c>
      <c r="M44" s="23">
        <f t="shared" si="4"/>
        <v>12500</v>
      </c>
    </row>
    <row r="45" spans="2:13">
      <c r="B45" s="8" t="s">
        <v>50</v>
      </c>
      <c r="C45" s="22"/>
      <c r="D45" s="22">
        <f>D43-D44</f>
        <v>7500</v>
      </c>
      <c r="E45" s="22">
        <f t="shared" ref="E45:M45" si="5">E43-E44</f>
        <v>9500</v>
      </c>
      <c r="F45" s="22">
        <f t="shared" si="5"/>
        <v>11700.000000000004</v>
      </c>
      <c r="G45" s="22">
        <f t="shared" si="5"/>
        <v>14120.000000000007</v>
      </c>
      <c r="H45" s="22">
        <f t="shared" si="5"/>
        <v>16782.000000000011</v>
      </c>
      <c r="I45" s="22">
        <f t="shared" si="5"/>
        <v>16782.000000000011</v>
      </c>
      <c r="J45" s="22">
        <f t="shared" si="5"/>
        <v>16782.000000000011</v>
      </c>
      <c r="K45" s="22">
        <f t="shared" si="5"/>
        <v>16782.000000000011</v>
      </c>
      <c r="L45" s="22">
        <f t="shared" si="5"/>
        <v>16782.000000000011</v>
      </c>
      <c r="M45" s="22">
        <f t="shared" si="5"/>
        <v>16782.000000000011</v>
      </c>
    </row>
    <row r="46" spans="2:13">
      <c r="B46" s="8" t="s">
        <v>51</v>
      </c>
      <c r="C46" s="22"/>
      <c r="D46" s="22">
        <f>D45*H8</f>
        <v>3000</v>
      </c>
      <c r="E46" s="22">
        <f>E45*H8</f>
        <v>3800</v>
      </c>
      <c r="F46" s="22">
        <f>F45*H8</f>
        <v>4680.0000000000018</v>
      </c>
      <c r="G46" s="22">
        <f>G45*H8</f>
        <v>5648.0000000000036</v>
      </c>
      <c r="H46" s="22">
        <f>H45*H8</f>
        <v>6712.8000000000047</v>
      </c>
      <c r="I46" s="22">
        <f>I45*H8</f>
        <v>6712.8000000000047</v>
      </c>
      <c r="J46" s="22">
        <f>J45*H8</f>
        <v>6712.8000000000047</v>
      </c>
      <c r="K46" s="22">
        <f>K45*H8</f>
        <v>6712.8000000000047</v>
      </c>
      <c r="L46" s="22">
        <f>L45*H8</f>
        <v>6712.8000000000047</v>
      </c>
      <c r="M46" s="23">
        <f>M45*H8</f>
        <v>6712.8000000000047</v>
      </c>
    </row>
    <row r="47" spans="2:13">
      <c r="B47" s="8" t="s">
        <v>52</v>
      </c>
      <c r="C47" s="22"/>
      <c r="D47" s="22">
        <f t="shared" ref="D47:M47" si="6">D45-D46</f>
        <v>4500</v>
      </c>
      <c r="E47" s="22">
        <f t="shared" si="6"/>
        <v>5700</v>
      </c>
      <c r="F47" s="22">
        <f t="shared" si="6"/>
        <v>7020.0000000000018</v>
      </c>
      <c r="G47" s="22">
        <f t="shared" si="6"/>
        <v>8472.0000000000036</v>
      </c>
      <c r="H47" s="22">
        <f t="shared" si="6"/>
        <v>10069.200000000006</v>
      </c>
      <c r="I47" s="22">
        <f t="shared" si="6"/>
        <v>10069.200000000006</v>
      </c>
      <c r="J47" s="22">
        <f t="shared" si="6"/>
        <v>10069.200000000006</v>
      </c>
      <c r="K47" s="22">
        <f t="shared" si="6"/>
        <v>10069.200000000006</v>
      </c>
      <c r="L47" s="22">
        <f t="shared" si="6"/>
        <v>10069.200000000006</v>
      </c>
      <c r="M47" s="23">
        <f t="shared" si="6"/>
        <v>10069.200000000006</v>
      </c>
    </row>
    <row r="48" spans="2:13">
      <c r="B48" s="8" t="s">
        <v>53</v>
      </c>
      <c r="C48" s="22"/>
      <c r="D48" s="22">
        <f t="shared" ref="D48:M48" si="7">D44</f>
        <v>12500</v>
      </c>
      <c r="E48" s="22">
        <f t="shared" si="7"/>
        <v>12500</v>
      </c>
      <c r="F48" s="22">
        <f t="shared" si="7"/>
        <v>12500</v>
      </c>
      <c r="G48" s="22">
        <f t="shared" si="7"/>
        <v>12500</v>
      </c>
      <c r="H48" s="22">
        <f t="shared" si="7"/>
        <v>12500</v>
      </c>
      <c r="I48" s="22">
        <f t="shared" si="7"/>
        <v>12500</v>
      </c>
      <c r="J48" s="22">
        <f t="shared" si="7"/>
        <v>12500</v>
      </c>
      <c r="K48" s="22">
        <f t="shared" si="7"/>
        <v>12500</v>
      </c>
      <c r="L48" s="22">
        <f t="shared" si="7"/>
        <v>12500</v>
      </c>
      <c r="M48" s="23">
        <f t="shared" si="7"/>
        <v>12500</v>
      </c>
    </row>
    <row r="49" spans="2:13">
      <c r="B49" s="8" t="s">
        <v>54</v>
      </c>
      <c r="C49" s="22"/>
      <c r="D49" s="22">
        <f>(D15*D40-C29)*D39</f>
        <v>0</v>
      </c>
      <c r="E49" s="22">
        <f>(D15*E40-C29)*E39</f>
        <v>1000</v>
      </c>
      <c r="F49" s="22">
        <f>(D15*F40-C29-SUM(D49,E49))*F39</f>
        <v>1100.0000000000018</v>
      </c>
      <c r="G49" s="22">
        <f>(D15*G40-C29-SUM(D49:F49))*G39</f>
        <v>1210.0000000000018</v>
      </c>
      <c r="H49" s="22">
        <f>(D15*H40-C29-SUM(D49:G49))*H39</f>
        <v>1331.0000000000018</v>
      </c>
      <c r="I49" s="22">
        <f>(D15*I40-C29-SUM(D49:H49))*I39</f>
        <v>0</v>
      </c>
      <c r="J49" s="22">
        <f>(D15*J40-C29-SUM(D49:I49))*J39</f>
        <v>0</v>
      </c>
      <c r="K49" s="22">
        <f>(D15*K40-C29-SUM(D49:J49))*K39</f>
        <v>0</v>
      </c>
      <c r="L49" s="22">
        <f>(D15*L40-C29-SUM(D49:K49))*L39</f>
        <v>0</v>
      </c>
      <c r="M49" s="23">
        <f>(D15*M40-C29-SUM(D49:L49))*M39</f>
        <v>0</v>
      </c>
    </row>
    <row r="50" spans="2:13">
      <c r="B50" s="8" t="s">
        <v>55</v>
      </c>
      <c r="C50" s="22">
        <f>0-C32</f>
        <v>-62484</v>
      </c>
      <c r="D50" s="22">
        <f>D47+D48-D49</f>
        <v>17000</v>
      </c>
      <c r="E50" s="22">
        <f t="shared" ref="E50:M50" si="8">E47+E48-E49</f>
        <v>17200</v>
      </c>
      <c r="F50" s="22">
        <f t="shared" si="8"/>
        <v>18420</v>
      </c>
      <c r="G50" s="22">
        <f t="shared" si="8"/>
        <v>19762</v>
      </c>
      <c r="H50" s="22">
        <f t="shared" si="8"/>
        <v>21238.200000000004</v>
      </c>
      <c r="I50" s="22">
        <f t="shared" si="8"/>
        <v>22569.200000000004</v>
      </c>
      <c r="J50" s="22">
        <f t="shared" si="8"/>
        <v>22569.200000000004</v>
      </c>
      <c r="K50" s="22">
        <f t="shared" si="8"/>
        <v>22569.200000000004</v>
      </c>
      <c r="L50" s="22">
        <f t="shared" si="8"/>
        <v>22569.200000000004</v>
      </c>
      <c r="M50" s="22">
        <f t="shared" si="8"/>
        <v>22569.200000000004</v>
      </c>
    </row>
    <row r="51" spans="2:13">
      <c r="B51" s="8" t="s">
        <v>56</v>
      </c>
      <c r="C51" s="6">
        <f>1</f>
        <v>1</v>
      </c>
      <c r="D51" s="6">
        <f>D39*(1+L12)^D24</f>
        <v>1</v>
      </c>
      <c r="E51" s="6">
        <f>E39*(1+L12)^E24</f>
        <v>1</v>
      </c>
      <c r="F51" s="6">
        <f>F39*(1+L12)^F24</f>
        <v>1</v>
      </c>
      <c r="G51" s="6">
        <f>G39*(1+L12)^G24</f>
        <v>1</v>
      </c>
      <c r="H51" s="6">
        <f>H39*(1+L12)^H24</f>
        <v>1</v>
      </c>
      <c r="I51" s="6">
        <f>I39*(1+L12)^I24</f>
        <v>1</v>
      </c>
      <c r="J51" s="6">
        <f>J39*(1+L12)^J24</f>
        <v>1</v>
      </c>
      <c r="K51" s="6">
        <f>K39*(1+L12)^K24</f>
        <v>1</v>
      </c>
      <c r="L51" s="6">
        <f>L39*(1+L12)^L24</f>
        <v>1</v>
      </c>
      <c r="M51" s="21">
        <f>M39*(1+L12)^M24</f>
        <v>1</v>
      </c>
    </row>
    <row r="52" spans="2:13" ht="14.95" thickBot="1">
      <c r="B52" s="12" t="s">
        <v>57</v>
      </c>
      <c r="C52" s="24">
        <f>0-C32</f>
        <v>-62484</v>
      </c>
      <c r="D52" s="24">
        <f>(D50+D35+D36)/(1+L12)^D24</f>
        <v>17000</v>
      </c>
      <c r="E52" s="24">
        <f>(E50+E35+E36)/(1+L12)^E24</f>
        <v>17200</v>
      </c>
      <c r="F52" s="24">
        <f>(F50+F35+F36)/(1+L12)^F24</f>
        <v>18420</v>
      </c>
      <c r="G52" s="24">
        <f>(G50+G35+G36)/(1+L12)^G24</f>
        <v>19762</v>
      </c>
      <c r="H52" s="24">
        <f>(H50+H35+H36)/(1+L12)^H24</f>
        <v>21238.200000000004</v>
      </c>
      <c r="I52" s="24">
        <f>(I50+I35+I36)/(1+L12)^I24</f>
        <v>22569.200000000004</v>
      </c>
      <c r="J52" s="24">
        <f>(J50+J35+J36)/(1+L12)^J24</f>
        <v>22569.200000000004</v>
      </c>
      <c r="K52" s="24">
        <f>(K50+K35+K36)/(1+L12)^K24</f>
        <v>22569.200000000004</v>
      </c>
      <c r="L52" s="24">
        <f>(L50+L35+L36)/(1+L12)^L24</f>
        <v>22569.200000000004</v>
      </c>
      <c r="M52" s="25">
        <f>(M50+M35+M36)/(1+L12)^M24</f>
        <v>22569.200000000004</v>
      </c>
    </row>
    <row r="53" spans="2:13" ht="14.95" thickBo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2:13" ht="14.95" thickTop="1">
      <c r="B54" s="2"/>
      <c r="C54" s="67" t="s">
        <v>58</v>
      </c>
      <c r="D54" s="68"/>
      <c r="E54" s="2"/>
      <c r="F54" s="2"/>
      <c r="G54" s="2"/>
      <c r="H54" s="2"/>
      <c r="I54" s="2"/>
      <c r="J54" s="2"/>
      <c r="K54" s="2"/>
      <c r="L54" s="2"/>
      <c r="M54" s="2"/>
    </row>
    <row r="55" spans="2:13">
      <c r="B55" s="2"/>
      <c r="C55" s="26" t="s">
        <v>59</v>
      </c>
      <c r="D55" s="64">
        <f>SUM(C52:M52)</f>
        <v>143982.20000000004</v>
      </c>
      <c r="E55" s="2"/>
      <c r="F55" s="2"/>
      <c r="G55" s="2"/>
      <c r="H55" s="2"/>
      <c r="I55" s="2"/>
      <c r="J55" s="2"/>
      <c r="K55" s="2"/>
      <c r="L55" s="2"/>
      <c r="M55" s="2"/>
    </row>
    <row r="56" spans="2:13">
      <c r="B56" s="2"/>
      <c r="C56" s="26" t="s">
        <v>60</v>
      </c>
      <c r="D56" s="65">
        <f>IRR(C50:M50,L12)</f>
        <v>0.28132164303095997</v>
      </c>
      <c r="E56" s="2"/>
      <c r="F56" s="2"/>
      <c r="G56" s="2"/>
      <c r="H56" s="2"/>
      <c r="I56" s="2"/>
      <c r="J56" s="2"/>
      <c r="K56" s="2"/>
      <c r="L56" s="2"/>
      <c r="M56" s="2"/>
    </row>
    <row r="57" spans="2:13" ht="14.95" thickBot="1">
      <c r="B57" s="2"/>
      <c r="C57" s="27" t="s">
        <v>61</v>
      </c>
      <c r="D57" s="66">
        <f>SUM(D47:M47)/SUM(C63:L63)</f>
        <v>-1.3777152000000008</v>
      </c>
      <c r="E57" s="2"/>
      <c r="F57" s="2"/>
      <c r="G57" s="2"/>
      <c r="H57" s="2"/>
      <c r="I57" s="2"/>
      <c r="J57" s="2"/>
      <c r="K57" s="2"/>
      <c r="L57" s="2"/>
      <c r="M57" s="2"/>
    </row>
    <row r="58" spans="2:13" ht="14.95" thickTop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2:1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2:13">
      <c r="B60" s="2"/>
      <c r="C60" s="2"/>
      <c r="D60" s="2"/>
      <c r="E60" s="2"/>
      <c r="F60" s="45" t="s">
        <v>62</v>
      </c>
      <c r="G60" s="45"/>
      <c r="H60" s="45"/>
      <c r="I60" s="2"/>
      <c r="J60" s="2"/>
      <c r="K60" s="2"/>
      <c r="L60" s="2"/>
      <c r="M60" s="2"/>
    </row>
    <row r="61" spans="2:13">
      <c r="B61" s="2" t="s">
        <v>63</v>
      </c>
      <c r="C61" s="2"/>
      <c r="D61" s="20">
        <f>D5</f>
        <v>50000</v>
      </c>
      <c r="E61" s="20">
        <f t="shared" ref="E61:M61" si="9">(D61-D62)*E39</f>
        <v>37500</v>
      </c>
      <c r="F61" s="20">
        <f t="shared" si="9"/>
        <v>25000</v>
      </c>
      <c r="G61" s="20">
        <f t="shared" si="9"/>
        <v>12500</v>
      </c>
      <c r="H61" s="20">
        <f t="shared" si="9"/>
        <v>0</v>
      </c>
      <c r="I61" s="20">
        <f t="shared" si="9"/>
        <v>-12500</v>
      </c>
      <c r="J61" s="20">
        <f t="shared" si="9"/>
        <v>-25000</v>
      </c>
      <c r="K61" s="20">
        <f t="shared" si="9"/>
        <v>-37500</v>
      </c>
      <c r="L61" s="20">
        <f t="shared" si="9"/>
        <v>-50000</v>
      </c>
      <c r="M61" s="20">
        <f t="shared" si="9"/>
        <v>-62500</v>
      </c>
    </row>
    <row r="62" spans="2:13">
      <c r="B62" s="2" t="s">
        <v>64</v>
      </c>
      <c r="C62" s="2"/>
      <c r="D62" s="20">
        <f>IF(D9=1,((D5-D8)/D7)*D39,(IF(D8&lt;D5*(1-2/D7)^(D24),D5*(1-2/D7)^(D24-1)*(2/D7)*D39,(IF(0&lt;(D5*(1-2/D7)^(D24-1))-D8,0,D5*D39*(1-2/D7)^(D24-1)-D8)))))</f>
        <v>12500</v>
      </c>
      <c r="E62" s="20">
        <f>IF(D9=1,((D5-D8)/D7)*E39,(IF(D8&lt;D5*(1-2/D7)^(E24),D5*(1-2/D7)^(E24-1)*(2/D7)*E39,(IF(0&lt;(D5*(1-2/D7)^(E24-1))-D8,0,D5*E39*(1-2/D7)^(E24-1)-D8)))))</f>
        <v>12500</v>
      </c>
      <c r="F62" s="20">
        <f>IF(D9=1,((D5-D8)/D7)*F39,(IF(D8&lt;D5*(1-2/D7)^(F24),D5*(1-2/D7)^(F24-1)*(2/D7)*F39,(IF(0&lt;(D5*(1-2/D7)^(F24-1))-D8,0,D5*F39*(1-2/D7)^(F24-1)-D8)))))</f>
        <v>12500</v>
      </c>
      <c r="G62" s="20">
        <f>IF(D9=1,((D5-D8)/D7)*G39,(IF(D8&lt;D5*(1-2/D7)^(G24),D5*(1-2/D7)^(G24-1)*(2/D7)*G39,(IF(0&gt;(D5*(1-2/D7)^(G24-1))-D8,0,D5*G39*(1-2/D7)^(G24-1)-D8)))))</f>
        <v>12500</v>
      </c>
      <c r="H62" s="20">
        <f>IF(D9=1,((D5-D8)/D7)*G39,(IF(D8&lt;D5*(1-2/D7)^(H24),D5*(1-2/D7)^(H24-1)*(2/D7)*H39,(IF(0&gt;(D5*(1-2/D7)^(H24-1))-D8,0,D5*H39*(1-2/D7)^(H24-1)-D8)))))</f>
        <v>12500</v>
      </c>
      <c r="I62" s="20">
        <f>IF(D9=1,((D5-D8)/D7)*I39,(IF(D8&lt;D5*(1-2/D7)^(I24),D5*(1-2/D7)^(I24-1)*(2/D7)*I39,(IF(0&gt;(D5*(1-2/D7)^(I24-1))-D8,0,D5*I39*(1-2/D7)^(I24-1)-D8)))))</f>
        <v>12500</v>
      </c>
      <c r="J62" s="20">
        <f>IF(D9=1,((D5-D8)/D7)*J39,(IF(D8&lt;D5*(1-2/D7)^(J24),D5*(1-2/D7)^(J24-1)*(2/D7)*J39,(IF(0&gt;(D5*(1-2/D7)^(J24-1))-D8,0,D5*J39*(1-2/D7)^(J24-1)-D8)))))</f>
        <v>12500</v>
      </c>
      <c r="K62" s="20">
        <f>IF(D9=1,((D5-D8)/D7)*K39,(IF(D8&lt;D5*(1-2/D7)^(K24),D5*(1-2/D7)^(K24-1)*(2/D7)*K39,(IF(0&gt;(D5*(1-2/D7)^(K24-1))-D8,0,D5*K39*(1-2/D7)^(K24-1)-D8)))))</f>
        <v>12500</v>
      </c>
      <c r="L62" s="20">
        <f>IF(D9=1,((D5-D8)/D7)*L39,(IF(D8&lt;D5*(1-2/D7)^(L24),D5*(1-2/D7)^(L24-1)*(2/D7)*L39,(IF(0&gt;(D5*(1-2/D7)^(L24-1))-D8,0,D5*L39*(1-2/D7)^(L24-1)-D8)))))</f>
        <v>12500</v>
      </c>
      <c r="M62" s="20">
        <f>IF(D9=1,((D5-D8)/D7)*M39,(IF(D8&lt;D5*(1-2/D7)^(M24),D5*(1-2/D7)^(M24-1)*(2/D7)*M39,(IF(0&gt;(D5*(1-2/D7)^(M24-1))-D8,0,D5*M39*(1-2/D7)^(M24-1)-D8)))))</f>
        <v>12500</v>
      </c>
    </row>
    <row r="63" spans="2:13">
      <c r="B63" s="2" t="s">
        <v>65</v>
      </c>
      <c r="C63" s="20">
        <f>D5</f>
        <v>50000</v>
      </c>
      <c r="D63" s="20">
        <f>D61-D62</f>
        <v>37500</v>
      </c>
      <c r="E63" s="20">
        <f t="shared" ref="E63:M63" si="10">E61-E62</f>
        <v>25000</v>
      </c>
      <c r="F63" s="20">
        <f t="shared" si="10"/>
        <v>12500</v>
      </c>
      <c r="G63" s="20">
        <f t="shared" si="10"/>
        <v>0</v>
      </c>
      <c r="H63" s="20">
        <f t="shared" si="10"/>
        <v>-12500</v>
      </c>
      <c r="I63" s="20">
        <f t="shared" si="10"/>
        <v>-25000</v>
      </c>
      <c r="J63" s="20">
        <f t="shared" si="10"/>
        <v>-37500</v>
      </c>
      <c r="K63" s="20">
        <f t="shared" si="10"/>
        <v>-50000</v>
      </c>
      <c r="L63" s="20">
        <f t="shared" si="10"/>
        <v>-62500</v>
      </c>
      <c r="M63" s="20">
        <f t="shared" si="10"/>
        <v>-75000</v>
      </c>
    </row>
    <row r="64" spans="2:1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</sheetData>
  <mergeCells count="13">
    <mergeCell ref="B18:C18"/>
    <mergeCell ref="B25:C25"/>
    <mergeCell ref="B34:C34"/>
    <mergeCell ref="B38:C38"/>
    <mergeCell ref="F60:H60"/>
    <mergeCell ref="C54:D54"/>
    <mergeCell ref="B22:H22"/>
    <mergeCell ref="B2:L2"/>
    <mergeCell ref="B3:L3"/>
    <mergeCell ref="B4:C4"/>
    <mergeCell ref="F4:G4"/>
    <mergeCell ref="J4:K4"/>
    <mergeCell ref="B13:C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2022-06-09T12:04:48Z</dcterms:modified>
</cp:coreProperties>
</file>